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7590" firstSheet="2" activeTab="2"/>
  </bookViews>
  <sheets>
    <sheet name="arkusz-do-druku (2)" sheetId="11" state="hidden" r:id="rId1"/>
    <sheet name="dane_łatwe" sheetId="7" state="hidden" r:id="rId2"/>
    <sheet name="arkusz-do-druku" sheetId="4" r:id="rId3"/>
  </sheets>
  <calcPr calcId="162913"/>
</workbook>
</file>

<file path=xl/calcChain.xml><?xml version="1.0" encoding="utf-8"?>
<calcChain xmlns="http://schemas.openxmlformats.org/spreadsheetml/2006/main">
  <c r="AJ4" i="7" l="1"/>
  <c r="AJ5" i="7"/>
  <c r="AH4" i="7"/>
  <c r="AH5" i="7"/>
  <c r="AH3" i="7"/>
  <c r="AJ3" i="7" s="1"/>
  <c r="AH2" i="7" l="1"/>
  <c r="R68" i="4" l="1"/>
  <c r="AF2" i="7" l="1"/>
  <c r="AJ2" i="7" s="1"/>
  <c r="AM2" i="7"/>
  <c r="AL2" i="7"/>
  <c r="AG4" i="7"/>
  <c r="AI4" i="7" s="1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 s="1"/>
  <c r="AK2" i="7"/>
  <c r="AK3" i="7"/>
  <c r="AL3" i="7"/>
  <c r="AK4" i="7"/>
  <c r="AL4" i="7"/>
  <c r="AK5" i="7"/>
  <c r="AL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A2" i="7"/>
  <c r="B4" i="7"/>
  <c r="AE4" i="7"/>
  <c r="AE2" i="7"/>
  <c r="U85" i="4"/>
  <c r="BD2" i="7"/>
  <c r="BC2" i="7"/>
  <c r="AE5" i="7"/>
  <c r="AF5" i="7"/>
  <c r="AG5" i="7"/>
  <c r="AE6" i="7"/>
  <c r="AF6" i="7"/>
  <c r="AI6" i="7"/>
  <c r="AG6" i="7"/>
  <c r="AH6" i="7"/>
  <c r="AJ6" i="7" s="1"/>
  <c r="AE7" i="7"/>
  <c r="AF7" i="7"/>
  <c r="AG7" i="7"/>
  <c r="AI7" i="7"/>
  <c r="AH7" i="7"/>
  <c r="Q85" i="4"/>
  <c r="M85" i="4"/>
  <c r="U82" i="4"/>
  <c r="M82" i="4"/>
  <c r="Q82" i="4"/>
  <c r="U79" i="4"/>
  <c r="Q79" i="4"/>
  <c r="M79" i="4"/>
  <c r="AF3" i="7"/>
  <c r="AG3" i="7"/>
  <c r="E74" i="4"/>
  <c r="E70" i="4"/>
  <c r="E68" i="4"/>
  <c r="F44" i="4"/>
  <c r="R39" i="4"/>
  <c r="K31" i="4"/>
  <c r="K29" i="4"/>
  <c r="I27" i="4"/>
  <c r="P37" i="4"/>
  <c r="G39" i="4"/>
  <c r="F37" i="4"/>
  <c r="L23" i="4"/>
  <c r="H21" i="4"/>
  <c r="D18" i="4"/>
  <c r="E15" i="4"/>
  <c r="H12" i="4"/>
  <c r="H9" i="4"/>
  <c r="AE3" i="7"/>
  <c r="AE8" i="7"/>
  <c r="AF8" i="7"/>
  <c r="AI8" i="7"/>
  <c r="AG8" i="7"/>
  <c r="AH8" i="7"/>
  <c r="AE9" i="7"/>
  <c r="AF9" i="7"/>
  <c r="AG9" i="7"/>
  <c r="AI9" i="7"/>
  <c r="AH9" i="7"/>
  <c r="AJ9" i="7"/>
  <c r="AE10" i="7"/>
  <c r="AF10" i="7"/>
  <c r="AI10" i="7"/>
  <c r="AG10" i="7"/>
  <c r="AH10" i="7"/>
  <c r="AJ10" i="7"/>
  <c r="AE11" i="7"/>
  <c r="AF11" i="7"/>
  <c r="AG11" i="7"/>
  <c r="AI11" i="7"/>
  <c r="AH11" i="7"/>
  <c r="AJ11" i="7"/>
  <c r="AE12" i="7"/>
  <c r="AF12" i="7"/>
  <c r="AI12" i="7"/>
  <c r="AG12" i="7"/>
  <c r="AH12" i="7"/>
  <c r="AE13" i="7"/>
  <c r="AF13" i="7"/>
  <c r="AG13" i="7"/>
  <c r="AI13" i="7"/>
  <c r="AH13" i="7"/>
  <c r="AJ13" i="7"/>
  <c r="AE14" i="7"/>
  <c r="AF14" i="7"/>
  <c r="AI14" i="7"/>
  <c r="AG14" i="7"/>
  <c r="AH14" i="7"/>
  <c r="AJ14" i="7"/>
  <c r="AE15" i="7"/>
  <c r="AF15" i="7"/>
  <c r="AG15" i="7"/>
  <c r="AI15" i="7"/>
  <c r="AH15" i="7"/>
  <c r="AJ15" i="7"/>
  <c r="AE16" i="7"/>
  <c r="AF16" i="7"/>
  <c r="AI16" i="7"/>
  <c r="AG16" i="7"/>
  <c r="AH16" i="7"/>
  <c r="AE17" i="7"/>
  <c r="AF17" i="7"/>
  <c r="AG17" i="7"/>
  <c r="AI17" i="7"/>
  <c r="AH17" i="7"/>
  <c r="AJ17" i="7"/>
  <c r="AE18" i="7"/>
  <c r="AF18" i="7"/>
  <c r="AI18" i="7"/>
  <c r="AG18" i="7"/>
  <c r="AH18" i="7"/>
  <c r="AJ18" i="7"/>
  <c r="AE19" i="7"/>
  <c r="AF19" i="7"/>
  <c r="AG19" i="7"/>
  <c r="AI19" i="7"/>
  <c r="AH19" i="7"/>
  <c r="AJ19" i="7"/>
  <c r="AE20" i="7"/>
  <c r="AF20" i="7"/>
  <c r="AI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J22" i="7"/>
  <c r="AE23" i="7"/>
  <c r="AF23" i="7"/>
  <c r="AG23" i="7"/>
  <c r="AI23" i="7"/>
  <c r="AH23" i="7"/>
  <c r="AJ23" i="7"/>
  <c r="AE24" i="7"/>
  <c r="AF24" i="7"/>
  <c r="AI24" i="7"/>
  <c r="AG24" i="7"/>
  <c r="AH24" i="7"/>
  <c r="AE25" i="7"/>
  <c r="AF25" i="7"/>
  <c r="AG25" i="7"/>
  <c r="AI25" i="7"/>
  <c r="AH25" i="7"/>
  <c r="AJ25" i="7"/>
  <c r="AE26" i="7"/>
  <c r="AF26" i="7"/>
  <c r="AI26" i="7"/>
  <c r="AG26" i="7"/>
  <c r="AH26" i="7"/>
  <c r="AJ26" i="7"/>
  <c r="AE27" i="7"/>
  <c r="AF27" i="7"/>
  <c r="AG27" i="7"/>
  <c r="AI27" i="7"/>
  <c r="AH27" i="7"/>
  <c r="AJ27" i="7"/>
  <c r="AE28" i="7"/>
  <c r="AF28" i="7"/>
  <c r="AI28" i="7"/>
  <c r="AG28" i="7"/>
  <c r="AH28" i="7"/>
  <c r="AJ28" i="7"/>
  <c r="AE29" i="7"/>
  <c r="AF29" i="7"/>
  <c r="AG29" i="7"/>
  <c r="AI29" i="7"/>
  <c r="AH29" i="7"/>
  <c r="AJ29" i="7"/>
  <c r="AE30" i="7"/>
  <c r="AF30" i="7"/>
  <c r="AI30" i="7"/>
  <c r="AG30" i="7"/>
  <c r="AH30" i="7"/>
  <c r="AE31" i="7"/>
  <c r="AF31" i="7"/>
  <c r="AG31" i="7"/>
  <c r="AI31" i="7"/>
  <c r="AH31" i="7"/>
  <c r="AJ31" i="7"/>
  <c r="AE32" i="7"/>
  <c r="AF32" i="7"/>
  <c r="AI32" i="7"/>
  <c r="AG32" i="7"/>
  <c r="AH32" i="7"/>
  <c r="AE33" i="7"/>
  <c r="AF33" i="7"/>
  <c r="AG33" i="7"/>
  <c r="AI33" i="7"/>
  <c r="AH33" i="7"/>
  <c r="AJ33" i="7"/>
  <c r="AE34" i="7"/>
  <c r="AF34" i="7"/>
  <c r="AJ34" i="7"/>
  <c r="AG34" i="7"/>
  <c r="AH34" i="7"/>
  <c r="AI34" i="7"/>
  <c r="AE35" i="7"/>
  <c r="AF35" i="7"/>
  <c r="AG35" i="7"/>
  <c r="AI35" i="7"/>
  <c r="AH35" i="7"/>
  <c r="AJ35" i="7"/>
  <c r="AE36" i="7"/>
  <c r="AF36" i="7"/>
  <c r="AI36" i="7"/>
  <c r="AG36" i="7"/>
  <c r="AH36" i="7"/>
  <c r="AJ36" i="7"/>
  <c r="AE37" i="7"/>
  <c r="AF37" i="7"/>
  <c r="AG37" i="7"/>
  <c r="AH37" i="7"/>
  <c r="AJ37" i="7"/>
  <c r="AE38" i="7"/>
  <c r="AF38" i="7"/>
  <c r="AJ38" i="7"/>
  <c r="AG38" i="7"/>
  <c r="AH38" i="7"/>
  <c r="AE39" i="7"/>
  <c r="AF39" i="7"/>
  <c r="AG39" i="7"/>
  <c r="AI39" i="7"/>
  <c r="AH39" i="7"/>
  <c r="AJ39" i="7"/>
  <c r="AE40" i="7"/>
  <c r="AF40" i="7"/>
  <c r="AJ40" i="7"/>
  <c r="AG40" i="7"/>
  <c r="AH40" i="7"/>
  <c r="AI40" i="7"/>
  <c r="AE41" i="7"/>
  <c r="AF41" i="7"/>
  <c r="AG41" i="7"/>
  <c r="AI41" i="7"/>
  <c r="AH41" i="7"/>
  <c r="AJ41" i="7"/>
  <c r="AE42" i="7"/>
  <c r="AF42" i="7"/>
  <c r="AI42" i="7"/>
  <c r="AG42" i="7"/>
  <c r="AH42" i="7"/>
  <c r="AJ42" i="7"/>
  <c r="AE43" i="7"/>
  <c r="AF43" i="7"/>
  <c r="AG43" i="7"/>
  <c r="AI43" i="7"/>
  <c r="AH43" i="7"/>
  <c r="AJ43" i="7"/>
  <c r="AE44" i="7"/>
  <c r="AF44" i="7"/>
  <c r="AI44" i="7"/>
  <c r="AG44" i="7"/>
  <c r="AH44" i="7"/>
  <c r="AE45" i="7"/>
  <c r="AF45" i="7"/>
  <c r="AG45" i="7"/>
  <c r="AI45" i="7"/>
  <c r="AH45" i="7"/>
  <c r="AJ45" i="7"/>
  <c r="AE46" i="7"/>
  <c r="AF46" i="7"/>
  <c r="AI46" i="7"/>
  <c r="AG46" i="7"/>
  <c r="AH46" i="7"/>
  <c r="AE47" i="7"/>
  <c r="AF47" i="7"/>
  <c r="AG47" i="7"/>
  <c r="AI47" i="7"/>
  <c r="AH47" i="7"/>
  <c r="AJ47" i="7"/>
  <c r="AE48" i="7"/>
  <c r="AF48" i="7"/>
  <c r="AI48" i="7"/>
  <c r="AG48" i="7"/>
  <c r="AH48" i="7"/>
  <c r="AJ48" i="7"/>
  <c r="AE49" i="7"/>
  <c r="AF49" i="7"/>
  <c r="AG49" i="7"/>
  <c r="AI49" i="7"/>
  <c r="AH49" i="7"/>
  <c r="AJ49" i="7"/>
  <c r="AE50" i="7"/>
  <c r="AF50" i="7"/>
  <c r="AI50" i="7"/>
  <c r="AG50" i="7"/>
  <c r="AH50" i="7"/>
  <c r="AJ50" i="7"/>
  <c r="AE51" i="7"/>
  <c r="AF51" i="7"/>
  <c r="AG51" i="7"/>
  <c r="AI51" i="7"/>
  <c r="AH51" i="7"/>
  <c r="AJ51" i="7"/>
  <c r="AE52" i="7"/>
  <c r="AF52" i="7"/>
  <c r="AI52" i="7"/>
  <c r="AG52" i="7"/>
  <c r="AH52" i="7"/>
  <c r="AE53" i="7"/>
  <c r="AF53" i="7"/>
  <c r="AG53" i="7"/>
  <c r="AI53" i="7"/>
  <c r="AH53" i="7"/>
  <c r="AJ53" i="7"/>
  <c r="AE54" i="7"/>
  <c r="AF54" i="7"/>
  <c r="AI54" i="7"/>
  <c r="AG54" i="7"/>
  <c r="AH54" i="7"/>
  <c r="AE55" i="7"/>
  <c r="AF55" i="7"/>
  <c r="AG55" i="7"/>
  <c r="AI55" i="7"/>
  <c r="AH55" i="7"/>
  <c r="AJ55" i="7"/>
  <c r="AE56" i="7"/>
  <c r="AF56" i="7"/>
  <c r="AI56" i="7"/>
  <c r="AG56" i="7"/>
  <c r="AH56" i="7"/>
  <c r="AJ56" i="7"/>
  <c r="AE57" i="7"/>
  <c r="AF57" i="7"/>
  <c r="AG57" i="7"/>
  <c r="AI57" i="7"/>
  <c r="AH57" i="7"/>
  <c r="AJ57" i="7"/>
  <c r="AE58" i="7"/>
  <c r="AF58" i="7"/>
  <c r="AI58" i="7"/>
  <c r="AG58" i="7"/>
  <c r="AH58" i="7"/>
  <c r="AJ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E63" i="7"/>
  <c r="AF63" i="7"/>
  <c r="AG63" i="7"/>
  <c r="AI63" i="7"/>
  <c r="AH63" i="7"/>
  <c r="AJ63" i="7"/>
  <c r="AE64" i="7"/>
  <c r="AF64" i="7"/>
  <c r="AI64" i="7"/>
  <c r="AG64" i="7"/>
  <c r="AH64" i="7"/>
  <c r="AJ64" i="7"/>
  <c r="AE65" i="7"/>
  <c r="AF65" i="7"/>
  <c r="AG65" i="7"/>
  <c r="AI65" i="7"/>
  <c r="AH65" i="7"/>
  <c r="AJ65" i="7"/>
  <c r="AE66" i="7"/>
  <c r="AF66" i="7"/>
  <c r="AI66" i="7"/>
  <c r="AG66" i="7"/>
  <c r="AH66" i="7"/>
  <c r="AJ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E71" i="7"/>
  <c r="AF71" i="7"/>
  <c r="AG71" i="7"/>
  <c r="AI71" i="7"/>
  <c r="AH71" i="7"/>
  <c r="AJ71" i="7"/>
  <c r="AE72" i="7"/>
  <c r="AF72" i="7"/>
  <c r="AJ72" i="7"/>
  <c r="AG72" i="7"/>
  <c r="AH72" i="7"/>
  <c r="AI72" i="7"/>
  <c r="AE73" i="7"/>
  <c r="AF73" i="7"/>
  <c r="AG73" i="7"/>
  <c r="AI73" i="7"/>
  <c r="AH73" i="7"/>
  <c r="AJ73" i="7"/>
  <c r="AE74" i="7"/>
  <c r="AF74" i="7"/>
  <c r="AJ74" i="7"/>
  <c r="AG74" i="7"/>
  <c r="AH74" i="7"/>
  <c r="AI74" i="7"/>
  <c r="AE75" i="7"/>
  <c r="AF75" i="7"/>
  <c r="AG75" i="7"/>
  <c r="AI75" i="7"/>
  <c r="AH75" i="7"/>
  <c r="AJ75" i="7"/>
  <c r="AE76" i="7"/>
  <c r="AF76" i="7"/>
  <c r="AI76" i="7"/>
  <c r="AG76" i="7"/>
  <c r="AH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J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J90" i="7"/>
  <c r="AG90" i="7"/>
  <c r="AH90" i="7"/>
  <c r="AI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I97" i="7"/>
  <c r="AG97" i="7"/>
  <c r="AH97" i="7"/>
  <c r="AJ97" i="7"/>
  <c r="AE98" i="7"/>
  <c r="AF98" i="7"/>
  <c r="AG98" i="7"/>
  <c r="AH98" i="7"/>
  <c r="AI98" i="7"/>
  <c r="AE99" i="7"/>
  <c r="AF99" i="7"/>
  <c r="AG99" i="7"/>
  <c r="AI99" i="7"/>
  <c r="AH99" i="7"/>
  <c r="AJ99" i="7"/>
  <c r="AE100" i="7"/>
  <c r="AF100" i="7"/>
  <c r="AJ100" i="7"/>
  <c r="AG100" i="7"/>
  <c r="AH100" i="7"/>
  <c r="AE101" i="7"/>
  <c r="AF101" i="7"/>
  <c r="AG101" i="7"/>
  <c r="AI101" i="7"/>
  <c r="AH101" i="7"/>
  <c r="AJ101" i="7"/>
  <c r="AE102" i="7"/>
  <c r="AF102" i="7"/>
  <c r="AJ102" i="7"/>
  <c r="AG102" i="7"/>
  <c r="AH102" i="7"/>
  <c r="AE103" i="7"/>
  <c r="AF103" i="7"/>
  <c r="AI103" i="7"/>
  <c r="AG103" i="7"/>
  <c r="AH103" i="7"/>
  <c r="AJ103" i="7"/>
  <c r="AE104" i="7"/>
  <c r="AF104" i="7"/>
  <c r="AG104" i="7"/>
  <c r="AH104" i="7"/>
  <c r="AJ104" i="7"/>
  <c r="AE105" i="7"/>
  <c r="AF105" i="7"/>
  <c r="AI105" i="7"/>
  <c r="AG105" i="7"/>
  <c r="AH105" i="7"/>
  <c r="AJ105" i="7"/>
  <c r="AE106" i="7"/>
  <c r="AF106" i="7"/>
  <c r="AI106" i="7"/>
  <c r="AG106" i="7"/>
  <c r="AH106" i="7"/>
  <c r="AJ106" i="7"/>
  <c r="AE107" i="7"/>
  <c r="AF107" i="7"/>
  <c r="AG107" i="7"/>
  <c r="AI107" i="7"/>
  <c r="AH107" i="7"/>
  <c r="AJ107" i="7"/>
  <c r="AE108" i="7"/>
  <c r="AF108" i="7"/>
  <c r="AJ108" i="7"/>
  <c r="AG108" i="7"/>
  <c r="AH108" i="7"/>
  <c r="AE109" i="7"/>
  <c r="AF109" i="7"/>
  <c r="AG109" i="7"/>
  <c r="AI109" i="7"/>
  <c r="AH109" i="7"/>
  <c r="AJ109" i="7"/>
  <c r="AE110" i="7"/>
  <c r="AF110" i="7"/>
  <c r="AG110" i="7"/>
  <c r="AH110" i="7"/>
  <c r="AE111" i="7"/>
  <c r="AF111" i="7"/>
  <c r="AJ111" i="7"/>
  <c r="AG111" i="7"/>
  <c r="AH111" i="7"/>
  <c r="AE112" i="7"/>
  <c r="AF112" i="7"/>
  <c r="AG112" i="7"/>
  <c r="AH112" i="7"/>
  <c r="AJ112" i="7"/>
  <c r="AE113" i="7"/>
  <c r="AF113" i="7"/>
  <c r="AI113" i="7"/>
  <c r="AG113" i="7"/>
  <c r="AH113" i="7"/>
  <c r="AJ113" i="7"/>
  <c r="AE114" i="7"/>
  <c r="AF114" i="7"/>
  <c r="AI114" i="7"/>
  <c r="AG114" i="7"/>
  <c r="AH114" i="7"/>
  <c r="AJ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H119" i="7"/>
  <c r="AJ119" i="7"/>
  <c r="AI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E41" i="4"/>
  <c r="AJ7" i="7"/>
  <c r="AJ116" i="7"/>
  <c r="AI110" i="7"/>
  <c r="AI108" i="7"/>
  <c r="AI100" i="7"/>
  <c r="AJ92" i="7"/>
  <c r="AJ84" i="7"/>
  <c r="AJ76" i="7"/>
  <c r="AJ68" i="7"/>
  <c r="AJ60" i="7"/>
  <c r="AJ52" i="7"/>
  <c r="AJ44" i="7"/>
  <c r="AJ30" i="7"/>
  <c r="AJ24" i="7"/>
  <c r="AJ20" i="7"/>
  <c r="AJ16" i="7"/>
  <c r="AJ12" i="7"/>
  <c r="AJ8" i="7"/>
  <c r="AI112" i="7"/>
  <c r="AI111" i="7"/>
  <c r="AJ110" i="7"/>
  <c r="AI104" i="7"/>
  <c r="AI102" i="7"/>
  <c r="AJ94" i="7"/>
  <c r="AJ86" i="7"/>
  <c r="AJ78" i="7"/>
  <c r="AJ70" i="7"/>
  <c r="AJ62" i="7"/>
  <c r="AJ54" i="7"/>
  <c r="AJ46" i="7"/>
  <c r="AI38" i="7"/>
  <c r="AI37" i="7"/>
  <c r="AJ32" i="7"/>
  <c r="AJ98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I3" i="7" l="1"/>
  <c r="AI5" i="7"/>
  <c r="E72" i="4"/>
  <c r="R72" i="4"/>
  <c r="AI2" i="7"/>
  <c r="K72" i="4" s="1"/>
</calcChain>
</file>

<file path=xl/sharedStrings.xml><?xml version="1.0" encoding="utf-8"?>
<sst xmlns="http://schemas.openxmlformats.org/spreadsheetml/2006/main" count="269" uniqueCount="115">
  <si>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</si>
  <si>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</si>
  <si>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</si>
  <si>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</si>
  <si>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</si>
  <si>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</si>
  <si>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</si>
  <si>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</si>
  <si>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</si>
  <si>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</si>
  <si>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</si>
  <si>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</si>
  <si>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</si>
  <si>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</si>
  <si>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</si>
  <si>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</si>
  <si>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</si>
  <si>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</si>
  <si>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</si>
  <si>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</si>
  <si>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</si>
  <si>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</si>
  <si>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</si>
  <si>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</si>
  <si>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</si>
  <si>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</si>
  <si>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</si>
  <si>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</si>
  <si>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</si>
  <si>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</si>
  <si>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</si>
  <si>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</si>
  <si>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</si>
  <si>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</si>
  <si>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</si>
  <si>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</si>
  <si>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</si>
  <si>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</si>
  <si>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</si>
  <si>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</si>
  <si>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</si>
  <si>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</si>
  <si>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</si>
  <si>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</si>
  <si>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</si>
  <si>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</si>
  <si>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</si>
  <si>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</si>
  <si>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</si>
  <si>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</si>
  <si>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</si>
  <si>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</si>
  <si>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</si>
  <si>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</si>
  <si>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</si>
  <si>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</si>
  <si>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</si>
  <si>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</si>
  <si>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</si>
  <si>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</si>
  <si>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</si>
  <si>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</si>
  <si>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</si>
  <si>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</si>
  <si>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</si>
  <si>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</si>
  <si>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</si>
  <si>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</si>
  <si>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</si>
  <si>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</si>
  <si>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</si>
  <si>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</si>
  <si>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</si>
  <si>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</si>
  <si>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</si>
  <si>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</si>
  <si>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</si>
  <si>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</si>
  <si>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</si>
  <si>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</si>
  <si>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</si>
  <si>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</si>
  <si>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</si>
  <si>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</si>
  <si>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</si>
  <si>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</si>
  <si>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</si>
  <si>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</si>
  <si>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</si>
  <si>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</si>
  <si>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</si>
  <si>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</si>
  <si>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</si>
  <si>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</si>
  <si>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12 miesięcy</t>
  </si>
  <si>
    <t>soki</t>
  </si>
  <si>
    <t>Fortuna</t>
  </si>
  <si>
    <t>300 ml</t>
  </si>
  <si>
    <t>kod CN</t>
  </si>
  <si>
    <t>SOK 100% POMIDOR z dodatkiem soli</t>
  </si>
  <si>
    <t>5900059020378</t>
  </si>
  <si>
    <t>10.32.11</t>
  </si>
  <si>
    <t>2009 50 90</t>
  </si>
  <si>
    <t>SOK 100% POMIDOR PIKANTNY</t>
  </si>
  <si>
    <t>5900059700720</t>
  </si>
  <si>
    <t>SOK 100% POMIDOR z ziołami włoskimi</t>
  </si>
  <si>
    <t>5900059700737</t>
  </si>
  <si>
    <t>SOK 100% POMIDOROWO-WARZYWNY</t>
  </si>
  <si>
    <t>5901886014172</t>
  </si>
  <si>
    <t>15901886014179</t>
  </si>
  <si>
    <t>10.32.17.0</t>
  </si>
  <si>
    <t>2009 90 98</t>
  </si>
  <si>
    <t>05900059403454</t>
  </si>
  <si>
    <t>05900059403447</t>
  </si>
  <si>
    <t>05900482003603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</si>
</sst>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0" fontId="0" fillId="0" borderId="0" xfId="0" applyNumberFormat="1" applyProtection="1"/>
    <xf numFmtId="49" fontId="0" fillId="0" borderId="0" xfId="0" applyNumberFormat="1" applyProtection="1"/>
    <xf numFmtId="9" fontId="0" fillId="0" borderId="0" xfId="0" applyNumberFormat="1" applyBorder="1" applyAlignment="1"/>
    <xf numFmtId="0" fontId="0" fillId="0" borderId="0" xfId="0" applyFont="1" applyAlignment="1"/>
    <xf numFmtId="0" fontId="0" fillId="0" borderId="0" xfId="0" quotePrefix="1" applyNumberFormat="1" applyFill="1" applyBorder="1" applyAlignment="1" applyProtection="1"/>
    <xf numFmtId="49" fontId="0" fillId="0" borderId="0" xfId="0" quotePrefix="1" applyNumberFormat="1" applyBorder="1" applyProtection="1"/>
    <xf numFmtId="0" fontId="0" fillId="0" borderId="0" xfId="0" applyBorder="1" applyAlignment="1" applyProtection="1">
      <alignment wrapText="1"/>
    </xf>
    <xf numFmtId="0" fontId="21" fillId="0" borderId="0" xfId="0" applyFont="1" applyAlignment="1"/>
    <xf numFmtId="0" fontId="0" fillId="0" borderId="0" xfId="0" quotePrefix="1" applyBorder="1" applyAlignment="1" applyProtection="1"/>
    <xf numFmtId="0" fontId="22" fillId="0" borderId="0" xfId="0" quotePrefix="1" applyFont="1"/>
    <xf numFmtId="0" fontId="0" fillId="0" borderId="0" xfId="0" applyFill="1" applyBorder="1" applyAlignment="1" applyProtection="1">
      <alignment wrapText="1"/>
    </xf>
    <xf numFmtId="49" fontId="0" fillId="0" borderId="0" xfId="0" applyNumberForma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3" xfId="0" applyFont="1" applyBorder="1" applyAlignment="1">
      <alignment vertical="center" textRotation="90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22" fmlaLink="$AA$4" fmlaRange="dane_łatwe!$B:$B" noThreeD="1" se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389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8" t="s">
        <v>86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2:37" s="1" customFormat="1" ht="12.75" x14ac:dyDescent="0.2">
      <c r="F2" s="12"/>
      <c r="M2" s="12" t="s">
        <v>49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1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VLOOKUP($AA$4,dane_łatwe!$A$1:$AJ$120,3,FALSE)</f>
        <v>opis1 do 30znaków (jak czerwone to za dużo znaków)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Y9" s="7"/>
    </row>
    <row r="10" spans="2:37" x14ac:dyDescent="0.15">
      <c r="B10" s="7"/>
      <c r="C10" s="2"/>
      <c r="Y10" s="7"/>
      <c r="AA10" s="86" t="s">
        <v>87</v>
      </c>
      <c r="AB10" s="87"/>
      <c r="AC10" s="87"/>
      <c r="AD10" s="87"/>
      <c r="AE10" s="87"/>
      <c r="AF10" s="87"/>
      <c r="AG10" s="87"/>
      <c r="AH10" s="87"/>
      <c r="AI10" s="87"/>
      <c r="AJ10" s="87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2:37" ht="14.1" customHeight="1" x14ac:dyDescent="0.15">
      <c r="B12" s="7"/>
      <c r="C12" s="3" t="s">
        <v>54</v>
      </c>
      <c r="H12" s="74" t="str">
        <f>VLOOKUP($AA$4,dane_łatwe!$A$1:$AJ$120,4,FALSE)</f>
        <v>opis2 do 30 znaków (dwa opisy razem występują na fakturze)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5"/>
      <c r="W12" s="5"/>
      <c r="X12" s="5"/>
      <c r="Y12" s="11"/>
      <c r="Z12" s="5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2:37" ht="17.25" customHeight="1" x14ac:dyDescent="0.15">
      <c r="B13" s="7"/>
      <c r="Y13" s="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2:37" x14ac:dyDescent="0.15">
      <c r="B14" s="7"/>
      <c r="C14" s="2" t="s">
        <v>2</v>
      </c>
      <c r="Y14" s="7"/>
      <c r="AA14" s="87"/>
      <c r="AB14" s="87"/>
      <c r="AC14" s="87"/>
      <c r="AD14" s="87"/>
      <c r="AE14" s="87"/>
      <c r="AF14" s="87"/>
      <c r="AG14" s="87"/>
      <c r="AH14" s="87"/>
      <c r="AI14" s="87"/>
      <c r="AJ14" s="87"/>
    </row>
    <row r="15" spans="2:37" x14ac:dyDescent="0.15">
      <c r="B15" s="7"/>
      <c r="C15" s="3" t="s">
        <v>4</v>
      </c>
      <c r="E15" s="90" t="str">
        <f>VLOOKUP($AA$4,dane_łatwe!$A$1:$AJ$120,5,FALSE)</f>
        <v>soki, przetwory, marki sieciowe, inne</v>
      </c>
      <c r="F15" s="90"/>
      <c r="G15" s="90"/>
      <c r="H15" s="90"/>
      <c r="I15" s="9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2:37" ht="5.0999999999999996" customHeight="1" x14ac:dyDescent="0.15">
      <c r="B16" s="7"/>
      <c r="Y16" s="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2:36" x14ac:dyDescent="0.15">
      <c r="B17" s="7"/>
      <c r="C17" s="2" t="s">
        <v>3</v>
      </c>
      <c r="Y17" s="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2:36" ht="14.1" customHeight="1" x14ac:dyDescent="0.15">
      <c r="B18" s="7"/>
      <c r="C18" s="3" t="s">
        <v>5</v>
      </c>
      <c r="D18" s="74" t="str">
        <f>VLOOKUP($AA$4,dane_łatwe!$A$1:$AJ$120,6,FALSE)</f>
        <v>marka</v>
      </c>
      <c r="E18" s="75"/>
      <c r="F18" s="75"/>
      <c r="G18" s="75"/>
      <c r="H18" s="75"/>
      <c r="I18" s="75"/>
      <c r="J18" s="75"/>
      <c r="K18" s="75"/>
      <c r="L18" s="76"/>
      <c r="M18" s="3" t="s">
        <v>50</v>
      </c>
      <c r="Y18" s="7"/>
    </row>
    <row r="19" spans="2:36" ht="13.5" customHeight="1" x14ac:dyDescent="0.15">
      <c r="B19" s="7"/>
      <c r="C19" s="3" t="s">
        <v>51</v>
      </c>
      <c r="D19" s="74"/>
      <c r="E19" s="75"/>
      <c r="F19" s="76"/>
      <c r="I19" s="3" t="s">
        <v>52</v>
      </c>
      <c r="O19" s="74"/>
      <c r="P19" s="75"/>
      <c r="Q19" s="75"/>
      <c r="R19" s="75"/>
      <c r="S19" s="75"/>
      <c r="T19" s="75"/>
      <c r="U19" s="76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74" t="str">
        <f>VLOOKUP($AA$4,dane_łatwe!$A$1:$AJ$120,7,FALSE)</f>
        <v>waga netto /objętość</v>
      </c>
      <c r="I21" s="75"/>
      <c r="J21" s="75"/>
      <c r="K21" s="75"/>
      <c r="L21" s="76"/>
      <c r="N21" s="4"/>
      <c r="O21" s="4"/>
      <c r="P21" s="4"/>
      <c r="Q21" s="4"/>
      <c r="R21" s="4"/>
      <c r="S21" s="89"/>
      <c r="T21" s="89"/>
      <c r="U21" s="89"/>
      <c r="V21" s="89"/>
      <c r="W21" s="89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4" t="str">
        <f>VLOOKUP($AA$4,dane_łatwe!$A$1:$AJ$120,9,FALSE)</f>
        <v>okres przydatności do spożycia</v>
      </c>
      <c r="M23" s="75"/>
      <c r="N23" s="76"/>
      <c r="P23" s="3" t="s">
        <v>12</v>
      </c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90" t="str">
        <f>VLOOKUP($AA$4,dane_łatwe!$A$1:$AJ$120,15,FALSE)</f>
        <v>jednostka miary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91" t="str">
        <f>VLOOKUP($AA$4,dane_łatwe!$A$1:$AJ$120,16,FALSE)</f>
        <v>kod sztuki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91" t="str">
        <f>VLOOKUP($AA$4,dane_łatwe!$A$1:$AJ$120,17,FALSE)</f>
        <v>kod zgrzewki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4" t="str">
        <f>VLOOKUP($AA$4,dane_łatwe!$A$1:$AJ$120,13,FALSE)</f>
        <v>VAT</v>
      </c>
      <c r="G37" s="75"/>
      <c r="H37" s="76"/>
      <c r="L37" s="2" t="s">
        <v>17</v>
      </c>
      <c r="O37" s="4"/>
      <c r="P37" s="74" t="str">
        <f>VLOOKUP($AA$4,dane_łatwe!$A$1:$AJ$120,10,FALSE)</f>
        <v>PKWiU</v>
      </c>
      <c r="Q37" s="75"/>
      <c r="R37" s="75"/>
      <c r="S37" s="75"/>
      <c r="T37" s="75"/>
      <c r="U37" s="75"/>
      <c r="V37" s="76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80" t="str">
        <f>VLOOKUP($AA$4,dane_łatwe!$A$1:$AJ$120,11,FALSE)</f>
        <v>kod CN</v>
      </c>
      <c r="H39" s="81"/>
      <c r="I39" s="81"/>
      <c r="J39" s="82"/>
      <c r="K39" s="3" t="s">
        <v>27</v>
      </c>
      <c r="M39" s="2" t="s">
        <v>21</v>
      </c>
      <c r="R39" s="80" t="str">
        <f>VLOOKUP($AA$4,dane_łatwe!$A$1:$AJ$120,12,FALSE)</f>
        <v>Cena sprzedaży</v>
      </c>
      <c r="S39" s="81"/>
      <c r="T39" s="81"/>
      <c r="U39" s="82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4" t="str">
        <f>VLOOKUP($AA$4,dane_łatwe!$A$1:$AJ$120,12,FALSE)</f>
        <v>Cena sprzedaży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5" t="str">
        <f>VLOOKUP($AA$4,dane_łatwe!$A$1:$AJ$120,8,FALSE)</f>
        <v>data</v>
      </c>
      <c r="G44" s="96"/>
      <c r="H44" s="96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75"/>
      <c r="G50" s="75"/>
      <c r="H50" s="75"/>
      <c r="I50" s="75"/>
      <c r="J50" s="75"/>
      <c r="K50" s="75"/>
      <c r="L50" s="75"/>
      <c r="M50" s="76"/>
      <c r="O50" s="2" t="s">
        <v>13</v>
      </c>
      <c r="T50" s="74"/>
      <c r="U50" s="75"/>
      <c r="V50" s="75"/>
      <c r="W50" s="76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4"/>
      <c r="H52" s="75"/>
      <c r="I52" s="75"/>
      <c r="J52" s="75"/>
      <c r="K52" s="75"/>
      <c r="L52" s="76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4" t="str">
        <f>VLOOKUP($AA$4,dane_łatwe!$A$1:$AJ$120,18,FALSE)</f>
        <v>ilość w zgrzewce</v>
      </c>
      <c r="F68" s="75"/>
      <c r="G68" s="76"/>
      <c r="H68" s="3" t="s">
        <v>33</v>
      </c>
      <c r="J68" s="3" t="s">
        <v>29</v>
      </c>
      <c r="K68" s="80" t="str">
        <f>VLOOKUP($AA$4,dane_łatwe!$A$1:$AJ$120,29,FALSE)</f>
        <v>waga netto (kg)</v>
      </c>
      <c r="L68" s="81"/>
      <c r="M68" s="82"/>
      <c r="N68" s="3" t="s">
        <v>34</v>
      </c>
      <c r="Q68" s="3" t="s">
        <v>29</v>
      </c>
      <c r="R68" s="80" t="str">
        <f>VLOOKUP($AA$4,dane_łatwe!$A$1:$AJ$120,30,FALSE)</f>
        <v>waga brutto (kg)</v>
      </c>
      <c r="S68" s="81"/>
      <c r="T68" s="82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4" t="str">
        <f>VLOOKUP($AA$4,dane_łatwe!$A$1:$AJ$120,19,FALSE)</f>
        <v>ilość zgrzewek w warstwie</v>
      </c>
      <c r="F70" s="75"/>
      <c r="G70" s="76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4" t="str">
        <f>VLOOKUP($AA$4,dane_łatwe!$A$1:$AJ$120,32,FALSE)</f>
        <v>ilość zgrzewek na palecie</v>
      </c>
      <c r="F72" s="75"/>
      <c r="G72" s="76"/>
      <c r="H72" s="3" t="s">
        <v>35</v>
      </c>
      <c r="J72" s="3" t="s">
        <v>29</v>
      </c>
      <c r="K72" s="80" t="str">
        <f>VLOOKUP($AA$4,dane_łatwe!$A$1:$AJ$120,35,FALSE)</f>
        <v>waga palety netto</v>
      </c>
      <c r="L72" s="81"/>
      <c r="M72" s="82"/>
      <c r="N72" s="3" t="s">
        <v>34</v>
      </c>
      <c r="Q72" s="3" t="s">
        <v>29</v>
      </c>
      <c r="R72" s="80" t="str">
        <f>VLOOKUP($AA$4,dane_łatwe!$A$1:$AJ$120,36,FALSE)</f>
        <v>waga palety brutto</v>
      </c>
      <c r="S72" s="81"/>
      <c r="T72" s="82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4" t="str">
        <f>VLOOKUP($AA$4,dane_łatwe!$A$1:$AJ$120,20,FALSE)</f>
        <v>ilość warstw</v>
      </c>
      <c r="F74" s="75"/>
      <c r="G74" s="76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3" t="s">
        <v>38</v>
      </c>
      <c r="H76" s="84"/>
      <c r="I76" s="85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7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8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8"/>
      <c r="M79" s="74" t="str">
        <f>VLOOKUP($AA$4,dane_łatwe!$A$1:$AJ$120,21,FALSE)</f>
        <v>długość sztuki</v>
      </c>
      <c r="N79" s="76"/>
      <c r="O79" s="3" t="s">
        <v>41</v>
      </c>
      <c r="Q79" s="74" t="str">
        <f>VLOOKUP($AA$4,dane_łatwe!$A$1:$AJ$120,22,FALSE)</f>
        <v>szerokość sztuki</v>
      </c>
      <c r="R79" s="76"/>
      <c r="S79" s="3" t="s">
        <v>41</v>
      </c>
      <c r="U79" s="74" t="str">
        <f>VLOOKUP($AA$4,dane_łatwe!$A$1:$AJ$120,23,FALSE)</f>
        <v>wysokość sztuki</v>
      </c>
      <c r="V79" s="76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9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4" t="str">
        <f>VLOOKUP($AA$4,dane_łatwe!$A$1:$AJ$120,24,FALSE)</f>
        <v>długość zgrzewki</v>
      </c>
      <c r="N82" s="76"/>
      <c r="O82" s="3" t="s">
        <v>41</v>
      </c>
      <c r="Q82" s="74" t="str">
        <f>VLOOKUP($AA$4,dane_łatwe!$A$1:$AJ$120,25,FALSE)</f>
        <v>szerokość zgrzewki</v>
      </c>
      <c r="R82" s="76"/>
      <c r="S82" s="3" t="s">
        <v>41</v>
      </c>
      <c r="U82" s="74" t="str">
        <f>VLOOKUP($AA$4,dane_łatwe!$A$1:$AJ$120,26,FALSE)</f>
        <v>wysokość zgrzewki</v>
      </c>
      <c r="V82" s="76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4" t="str">
        <f>VLOOKUP($AA$4,dane_łatwe!$A$1:$AJ$120,27,FALSE)</f>
        <v>długość palety</v>
      </c>
      <c r="N85" s="76"/>
      <c r="O85" s="3" t="s">
        <v>41</v>
      </c>
      <c r="Q85" s="74" t="str">
        <f>VLOOKUP($AA$4,dane_łatwe!$A$1:$AJ$120,28,FALSE)</f>
        <v>szerokość palety</v>
      </c>
      <c r="R85" s="76"/>
      <c r="S85" s="3" t="s">
        <v>41</v>
      </c>
      <c r="U85" s="74" t="str">
        <f>VLOOKUP($AA$4,dane_łatwe!$A$1:$AJ$120,31,FALSE)</f>
        <v>wysokość palety</v>
      </c>
      <c r="V85" s="76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6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4"/>
      <c r="G95" s="75"/>
      <c r="H95" s="75"/>
      <c r="I95" s="76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6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K31:W31"/>
    <mergeCell ref="F44:H44"/>
    <mergeCell ref="L23:N23"/>
    <mergeCell ref="H12:U12"/>
    <mergeCell ref="D18:L18"/>
    <mergeCell ref="H21:L21"/>
    <mergeCell ref="E15:I15"/>
    <mergeCell ref="D19:F19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</mergeCells>
  <phoneticPr fontId="0" type="noConversion"/>
  <conditionalFormatting sqref="H12:U12">
    <cfRule type="cellIs" dxfId="2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L2" activePane="bottomRight" state="frozen"/>
      <selection activeCell="C1" sqref="C1"/>
      <selection pane="topRight" activeCell="E1" sqref="E1"/>
      <selection pane="bottomLeft" activeCell="C2" sqref="C2"/>
      <selection pane="bottomRight" activeCell="Q2" sqref="Q2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4.140625" style="47" bestFit="1" customWidth="1"/>
    <col min="17" max="17" width="18.5703125" style="47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9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72</v>
      </c>
      <c r="C1" s="44" t="s">
        <v>88</v>
      </c>
      <c r="D1" s="44" t="s">
        <v>89</v>
      </c>
      <c r="E1" s="44" t="s">
        <v>82</v>
      </c>
      <c r="F1" s="44" t="s">
        <v>56</v>
      </c>
      <c r="G1" s="44" t="s">
        <v>84</v>
      </c>
      <c r="H1" s="44" t="s">
        <v>69</v>
      </c>
      <c r="I1" s="44" t="s">
        <v>71</v>
      </c>
      <c r="J1" s="44" t="s">
        <v>63</v>
      </c>
      <c r="K1" s="45" t="s">
        <v>98</v>
      </c>
      <c r="L1" s="45" t="s">
        <v>21</v>
      </c>
      <c r="M1" s="45" t="s">
        <v>64</v>
      </c>
      <c r="N1" s="45" t="s">
        <v>85</v>
      </c>
      <c r="O1" s="46" t="s">
        <v>60</v>
      </c>
      <c r="P1" s="46" t="s">
        <v>57</v>
      </c>
      <c r="Q1" s="46" t="s">
        <v>58</v>
      </c>
      <c r="R1" s="46" t="s">
        <v>59</v>
      </c>
      <c r="S1" s="46" t="s">
        <v>65</v>
      </c>
      <c r="T1" s="46" t="s">
        <v>70</v>
      </c>
      <c r="U1" s="46" t="s">
        <v>75</v>
      </c>
      <c r="V1" s="46" t="s">
        <v>73</v>
      </c>
      <c r="W1" s="46" t="s">
        <v>74</v>
      </c>
      <c r="X1" s="46" t="s">
        <v>76</v>
      </c>
      <c r="Y1" s="46" t="s">
        <v>77</v>
      </c>
      <c r="Z1" s="46" t="s">
        <v>78</v>
      </c>
      <c r="AA1" s="46" t="s">
        <v>79</v>
      </c>
      <c r="AB1" s="46" t="s">
        <v>80</v>
      </c>
      <c r="AC1" s="46" t="s">
        <v>91</v>
      </c>
      <c r="AD1" s="46" t="s">
        <v>90</v>
      </c>
      <c r="AE1" s="48" t="s">
        <v>81</v>
      </c>
      <c r="AF1" s="48" t="s">
        <v>66</v>
      </c>
      <c r="AG1" s="48" t="s">
        <v>61</v>
      </c>
      <c r="AH1" s="48" t="s">
        <v>62</v>
      </c>
      <c r="AI1" s="48" t="s">
        <v>67</v>
      </c>
      <c r="AJ1" s="48" t="s">
        <v>68</v>
      </c>
    </row>
    <row r="2" spans="1:56" ht="26.25" x14ac:dyDescent="0.25">
      <c r="A2" s="47">
        <f>A1+1</f>
        <v>2</v>
      </c>
      <c r="B2" s="47" t="str">
        <f>C2&amp;D2</f>
        <v>SOK 100% POMIDOR z dodatkiem soli</v>
      </c>
      <c r="C2" s="68" t="s">
        <v>99</v>
      </c>
      <c r="D2" s="55"/>
      <c r="E2" s="55" t="s">
        <v>95</v>
      </c>
      <c r="F2" s="56" t="s">
        <v>96</v>
      </c>
      <c r="G2" s="56" t="s">
        <v>97</v>
      </c>
      <c r="H2" s="59"/>
      <c r="I2" s="55" t="s">
        <v>94</v>
      </c>
      <c r="J2" s="61" t="s">
        <v>101</v>
      </c>
      <c r="K2" s="69" t="s">
        <v>102</v>
      </c>
      <c r="L2" s="57"/>
      <c r="M2" s="60"/>
      <c r="N2" s="60"/>
      <c r="O2" s="54" t="s">
        <v>92</v>
      </c>
      <c r="P2" s="71" t="s">
        <v>100</v>
      </c>
      <c r="Q2" s="67" t="s">
        <v>114</v>
      </c>
      <c r="R2" s="55">
        <v>15</v>
      </c>
      <c r="S2" s="55">
        <v>14</v>
      </c>
      <c r="T2" s="56">
        <v>7</v>
      </c>
      <c r="U2" s="56">
        <v>6.5</v>
      </c>
      <c r="V2" s="56">
        <v>6.5</v>
      </c>
      <c r="W2" s="56">
        <v>16.3</v>
      </c>
      <c r="X2" s="62">
        <v>33.6</v>
      </c>
      <c r="Y2" s="62">
        <v>19.899999999999999</v>
      </c>
      <c r="Z2" s="62">
        <v>16.5</v>
      </c>
      <c r="AA2" s="56">
        <v>120</v>
      </c>
      <c r="AB2" s="56">
        <v>80</v>
      </c>
      <c r="AC2" s="58">
        <v>0.30499999999999999</v>
      </c>
      <c r="AD2" s="66">
        <v>0.46600000000000003</v>
      </c>
      <c r="AE2" s="49">
        <f>Z2*T2</f>
        <v>115.5</v>
      </c>
      <c r="AF2" s="49">
        <f>T2*S2</f>
        <v>98</v>
      </c>
      <c r="AG2" s="49">
        <f>R2*AC2</f>
        <v>4.5750000000000002</v>
      </c>
      <c r="AH2" s="49">
        <f>R2*AD2+0.07</f>
        <v>7.0600000000000005</v>
      </c>
      <c r="AI2" s="49">
        <f>AF2*AG2</f>
        <v>448.35</v>
      </c>
      <c r="AJ2" s="49">
        <f>AF2*AH2+25</f>
        <v>716.88</v>
      </c>
      <c r="AK2" s="47">
        <f t="shared" ref="AK2:AL5" si="0">LEN(C2)</f>
        <v>33</v>
      </c>
      <c r="AL2" s="47">
        <f>LEN(D2)</f>
        <v>0</v>
      </c>
      <c r="AM2" s="47">
        <f>LEN(D2)</f>
        <v>0</v>
      </c>
      <c r="BC2" s="47">
        <f>LEN(C2)</f>
        <v>33</v>
      </c>
      <c r="BD2" s="47">
        <f>LEN(D2)</f>
        <v>0</v>
      </c>
    </row>
    <row r="3" spans="1:56" ht="25.5" x14ac:dyDescent="0.2">
      <c r="A3" s="47">
        <f t="shared" ref="A3:A66" si="1">A2+1</f>
        <v>3</v>
      </c>
      <c r="B3" s="47" t="str">
        <f t="shared" ref="B3:B66" si="2">C3&amp;D3</f>
        <v>SOK 100% POMIDOR PIKANTNY</v>
      </c>
      <c r="C3" s="68" t="s">
        <v>103</v>
      </c>
      <c r="D3" s="55"/>
      <c r="E3" s="55" t="s">
        <v>95</v>
      </c>
      <c r="F3" s="56" t="s">
        <v>96</v>
      </c>
      <c r="G3" s="56" t="s">
        <v>97</v>
      </c>
      <c r="H3" s="59"/>
      <c r="I3" s="55" t="s">
        <v>94</v>
      </c>
      <c r="J3" s="61" t="s">
        <v>101</v>
      </c>
      <c r="K3" s="69" t="s">
        <v>102</v>
      </c>
      <c r="L3" s="55"/>
      <c r="M3" s="55"/>
      <c r="N3" s="55"/>
      <c r="O3" s="54" t="s">
        <v>92</v>
      </c>
      <c r="P3" s="70" t="s">
        <v>104</v>
      </c>
      <c r="Q3" s="70" t="s">
        <v>113</v>
      </c>
      <c r="R3" s="55">
        <v>15</v>
      </c>
      <c r="S3" s="55">
        <v>14</v>
      </c>
      <c r="T3" s="55">
        <v>7</v>
      </c>
      <c r="U3" s="56">
        <v>6.5</v>
      </c>
      <c r="V3" s="56">
        <v>6.5</v>
      </c>
      <c r="W3" s="56">
        <v>16.3</v>
      </c>
      <c r="X3" s="56">
        <v>33.6</v>
      </c>
      <c r="Y3" s="56">
        <v>19.899999999999999</v>
      </c>
      <c r="Z3" s="56">
        <v>16.5</v>
      </c>
      <c r="AA3" s="56">
        <v>120</v>
      </c>
      <c r="AB3" s="56">
        <v>80</v>
      </c>
      <c r="AC3" s="56">
        <v>0.30499999999999999</v>
      </c>
      <c r="AD3" s="56">
        <v>0.46600000000000003</v>
      </c>
      <c r="AE3" s="49">
        <f t="shared" ref="AE3:AE66" si="3">Z3*T3</f>
        <v>115.5</v>
      </c>
      <c r="AF3" s="49">
        <f t="shared" ref="AF3:AF66" si="4">T3*S3</f>
        <v>98</v>
      </c>
      <c r="AG3" s="49">
        <f t="shared" ref="AG3:AG33" si="5">R3*AC3</f>
        <v>4.5750000000000002</v>
      </c>
      <c r="AH3" s="49">
        <f>R3*AD3+0.07</f>
        <v>7.0600000000000005</v>
      </c>
      <c r="AI3" s="49">
        <f t="shared" ref="AI3:AI66" si="6">AF3*AG3</f>
        <v>448.35</v>
      </c>
      <c r="AJ3" s="49">
        <f>AF3*AH3+25</f>
        <v>716.88</v>
      </c>
      <c r="AK3" s="47">
        <f t="shared" si="0"/>
        <v>25</v>
      </c>
      <c r="AL3" s="47">
        <f t="shared" si="0"/>
        <v>0</v>
      </c>
    </row>
    <row r="4" spans="1:56" ht="25.5" x14ac:dyDescent="0.2">
      <c r="A4" s="47">
        <f t="shared" si="1"/>
        <v>4</v>
      </c>
      <c r="B4" s="47" t="str">
        <f t="shared" si="2"/>
        <v>SOK 100% POMIDOR z ziołami włoskimi</v>
      </c>
      <c r="C4" s="68" t="s">
        <v>105</v>
      </c>
      <c r="D4" s="55"/>
      <c r="E4" s="55" t="s">
        <v>95</v>
      </c>
      <c r="F4" s="56" t="s">
        <v>96</v>
      </c>
      <c r="G4" s="56" t="s">
        <v>97</v>
      </c>
      <c r="H4" s="55"/>
      <c r="I4" s="55" t="s">
        <v>94</v>
      </c>
      <c r="J4" s="61" t="s">
        <v>101</v>
      </c>
      <c r="K4" s="69" t="s">
        <v>102</v>
      </c>
      <c r="L4" s="55"/>
      <c r="M4" s="55"/>
      <c r="N4" s="55"/>
      <c r="O4" s="54" t="s">
        <v>92</v>
      </c>
      <c r="P4" s="70" t="s">
        <v>106</v>
      </c>
      <c r="Q4" s="70" t="s">
        <v>112</v>
      </c>
      <c r="R4" s="55">
        <v>15</v>
      </c>
      <c r="S4" s="55">
        <v>14</v>
      </c>
      <c r="T4" s="56">
        <v>7</v>
      </c>
      <c r="U4" s="56">
        <v>6.5</v>
      </c>
      <c r="V4" s="56">
        <v>6.5</v>
      </c>
      <c r="W4" s="56">
        <v>16.3</v>
      </c>
      <c r="X4" s="62">
        <v>33.6</v>
      </c>
      <c r="Y4" s="62">
        <v>19.899999999999999</v>
      </c>
      <c r="Z4" s="62">
        <v>16.5</v>
      </c>
      <c r="AA4" s="56">
        <v>120</v>
      </c>
      <c r="AB4" s="56">
        <v>80</v>
      </c>
      <c r="AC4" s="58">
        <v>0.30499999999999999</v>
      </c>
      <c r="AD4" s="66">
        <v>0.46600000000000003</v>
      </c>
      <c r="AE4" s="49">
        <f t="shared" si="3"/>
        <v>115.5</v>
      </c>
      <c r="AF4" s="49">
        <f t="shared" si="4"/>
        <v>98</v>
      </c>
      <c r="AG4" s="49">
        <f>R4*AC4</f>
        <v>4.5750000000000002</v>
      </c>
      <c r="AH4" s="49">
        <f>R4*AD4+0.07</f>
        <v>7.0600000000000005</v>
      </c>
      <c r="AI4" s="49">
        <f>AF4*AG4</f>
        <v>448.35</v>
      </c>
      <c r="AJ4" s="49">
        <f>AF4*AH4+25</f>
        <v>716.88</v>
      </c>
      <c r="AK4" s="47">
        <f t="shared" si="0"/>
        <v>35</v>
      </c>
      <c r="AL4" s="47">
        <f t="shared" si="0"/>
        <v>0</v>
      </c>
    </row>
    <row r="5" spans="1:56" ht="38.25" x14ac:dyDescent="0.2">
      <c r="A5" s="47">
        <f>A4+1</f>
        <v>5</v>
      </c>
      <c r="B5" s="47" t="str">
        <f t="shared" si="2"/>
        <v>SOK 100% POMIDOROWO-WARZYWNY</v>
      </c>
      <c r="C5" s="72" t="s">
        <v>107</v>
      </c>
      <c r="D5" s="55"/>
      <c r="E5" s="55" t="s">
        <v>95</v>
      </c>
      <c r="F5" s="56" t="s">
        <v>96</v>
      </c>
      <c r="G5" s="56" t="s">
        <v>97</v>
      </c>
      <c r="H5" s="55"/>
      <c r="I5" s="55" t="s">
        <v>94</v>
      </c>
      <c r="J5" s="73" t="s">
        <v>110</v>
      </c>
      <c r="K5" s="55" t="s">
        <v>111</v>
      </c>
      <c r="L5" s="55"/>
      <c r="M5" s="55"/>
      <c r="N5" s="55"/>
      <c r="O5" s="54" t="s">
        <v>92</v>
      </c>
      <c r="P5" s="70" t="s">
        <v>108</v>
      </c>
      <c r="Q5" s="70" t="s">
        <v>109</v>
      </c>
      <c r="R5" s="55">
        <v>15</v>
      </c>
      <c r="S5" s="55">
        <v>14</v>
      </c>
      <c r="T5" s="55">
        <v>7</v>
      </c>
      <c r="U5" s="56">
        <v>6.5</v>
      </c>
      <c r="V5" s="56">
        <v>6.5</v>
      </c>
      <c r="W5" s="56">
        <v>16.3</v>
      </c>
      <c r="X5" s="56">
        <v>33.6</v>
      </c>
      <c r="Y5" s="56">
        <v>19.899999999999999</v>
      </c>
      <c r="Z5" s="56">
        <v>16.5</v>
      </c>
      <c r="AA5" s="56">
        <v>120</v>
      </c>
      <c r="AB5" s="56">
        <v>80</v>
      </c>
      <c r="AC5" s="56">
        <v>0.30499999999999999</v>
      </c>
      <c r="AD5" s="56">
        <v>0.46600000000000003</v>
      </c>
      <c r="AE5" s="49">
        <f>Z5*T5</f>
        <v>115.5</v>
      </c>
      <c r="AF5" s="49">
        <f>T5*S5</f>
        <v>98</v>
      </c>
      <c r="AG5" s="49">
        <f t="shared" si="5"/>
        <v>4.5750000000000002</v>
      </c>
      <c r="AH5" s="49">
        <f>R5*AD5+0.07</f>
        <v>7.0600000000000005</v>
      </c>
      <c r="AI5" s="49">
        <f>AF5*AG5</f>
        <v>448.35</v>
      </c>
      <c r="AJ5" s="49">
        <f>AF5*AH5+25</f>
        <v>716.88</v>
      </c>
      <c r="AK5" s="47">
        <f t="shared" si="0"/>
        <v>28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5"/>
      <c r="D8" s="51"/>
      <c r="E8" s="55"/>
      <c r="F8" s="56"/>
      <c r="G8" s="56"/>
      <c r="H8" s="52"/>
      <c r="I8" s="55"/>
      <c r="J8" s="52"/>
      <c r="K8" s="52"/>
      <c r="L8" s="52"/>
      <c r="M8" s="64"/>
      <c r="N8" s="52"/>
      <c r="O8" s="54"/>
      <c r="P8" s="61"/>
      <c r="Q8" s="63"/>
      <c r="R8" s="55"/>
      <c r="S8" s="55"/>
      <c r="T8" s="56"/>
      <c r="U8" s="56"/>
      <c r="V8" s="56"/>
      <c r="W8" s="56"/>
      <c r="X8" s="62"/>
      <c r="Y8" s="62"/>
      <c r="Z8" s="62"/>
      <c r="AA8" s="56"/>
      <c r="AB8" s="56"/>
      <c r="AC8" s="58"/>
      <c r="AD8" s="58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58"/>
      <c r="D9" s="51"/>
      <c r="E9" s="55"/>
      <c r="F9" s="56"/>
      <c r="G9" s="56"/>
      <c r="H9" s="52"/>
      <c r="I9" s="55"/>
      <c r="J9" s="52"/>
      <c r="K9" s="52"/>
      <c r="L9" s="52"/>
      <c r="M9" s="64"/>
      <c r="N9" s="52"/>
      <c r="O9" s="54"/>
      <c r="P9" s="61"/>
      <c r="Q9" s="63"/>
      <c r="R9" s="55"/>
      <c r="S9" s="55"/>
      <c r="T9" s="56"/>
      <c r="U9" s="56"/>
      <c r="V9" s="56"/>
      <c r="W9" s="56"/>
      <c r="X9" s="62"/>
      <c r="Y9" s="62"/>
      <c r="Z9" s="62"/>
      <c r="AA9" s="56"/>
      <c r="AB9" s="56"/>
      <c r="AC9" s="58"/>
      <c r="AD9" s="58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58"/>
      <c r="D10" s="51"/>
      <c r="E10" s="55"/>
      <c r="F10" s="56"/>
      <c r="G10" s="56"/>
      <c r="H10" s="52"/>
      <c r="I10" s="55"/>
      <c r="J10" s="52"/>
      <c r="K10" s="52"/>
      <c r="L10" s="52"/>
      <c r="M10" s="64"/>
      <c r="N10" s="52"/>
      <c r="O10" s="54"/>
      <c r="P10" s="61"/>
      <c r="Q10" s="63"/>
      <c r="R10" s="55"/>
      <c r="S10" s="55"/>
      <c r="T10" s="56"/>
      <c r="U10" s="56"/>
      <c r="V10" s="56"/>
      <c r="W10" s="56"/>
      <c r="X10" s="62"/>
      <c r="Y10" s="62"/>
      <c r="Z10" s="62"/>
      <c r="AA10" s="56"/>
      <c r="AB10" s="56"/>
      <c r="AC10" s="58"/>
      <c r="AD10" s="58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58"/>
      <c r="D11" s="51"/>
      <c r="E11" s="55"/>
      <c r="F11" s="56"/>
      <c r="G11" s="56"/>
      <c r="H11" s="52"/>
      <c r="I11" s="55"/>
      <c r="J11" s="52"/>
      <c r="K11" s="52"/>
      <c r="L11" s="52"/>
      <c r="M11" s="64"/>
      <c r="N11" s="52"/>
      <c r="O11" s="54"/>
      <c r="P11" s="61"/>
      <c r="Q11" s="63"/>
      <c r="R11" s="55"/>
      <c r="S11" s="55"/>
      <c r="T11" s="56"/>
      <c r="U11" s="56"/>
      <c r="V11" s="56"/>
      <c r="W11" s="56"/>
      <c r="X11" s="62"/>
      <c r="Y11" s="62"/>
      <c r="Z11" s="62"/>
      <c r="AA11" s="56"/>
      <c r="AB11" s="56"/>
      <c r="AC11" s="58"/>
      <c r="AD11" s="58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58"/>
      <c r="D12" s="51"/>
      <c r="E12" s="55"/>
      <c r="F12" s="56"/>
      <c r="G12" s="56"/>
      <c r="H12" s="52"/>
      <c r="I12" s="55"/>
      <c r="J12" s="52"/>
      <c r="K12" s="52"/>
      <c r="L12" s="52"/>
      <c r="M12" s="52"/>
      <c r="N12" s="52"/>
      <c r="O12" s="54"/>
      <c r="P12" s="58"/>
      <c r="Q12" s="58"/>
      <c r="R12" s="56"/>
      <c r="S12" s="56"/>
      <c r="T12" s="56"/>
      <c r="U12" s="62"/>
      <c r="V12" s="62"/>
      <c r="W12" s="62"/>
      <c r="X12" s="62"/>
      <c r="Y12" s="62"/>
      <c r="Z12" s="62"/>
      <c r="AA12" s="56"/>
      <c r="AB12" s="56"/>
      <c r="AC12" s="58"/>
      <c r="AD12" s="58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58"/>
      <c r="D13" s="51"/>
      <c r="E13" s="55"/>
      <c r="F13" s="56"/>
      <c r="G13" s="56"/>
      <c r="H13" s="52"/>
      <c r="I13" s="55"/>
      <c r="J13" s="52"/>
      <c r="K13" s="52"/>
      <c r="L13" s="52"/>
      <c r="M13" s="52"/>
      <c r="N13" s="52"/>
      <c r="O13" s="54"/>
      <c r="P13" s="58"/>
      <c r="Q13" s="58"/>
      <c r="R13" s="56"/>
      <c r="S13" s="56"/>
      <c r="T13" s="56"/>
      <c r="U13" s="62"/>
      <c r="V13" s="62"/>
      <c r="W13" s="62"/>
      <c r="X13" s="62"/>
      <c r="Y13" s="62"/>
      <c r="Z13" s="62"/>
      <c r="AA13" s="56"/>
      <c r="AB13" s="56"/>
      <c r="AC13" s="58"/>
      <c r="AD13" s="58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58"/>
      <c r="D14" s="51"/>
      <c r="E14" s="55"/>
      <c r="F14" s="56"/>
      <c r="G14" s="56"/>
      <c r="H14" s="52"/>
      <c r="I14" s="55"/>
      <c r="J14" s="52"/>
      <c r="K14" s="52"/>
      <c r="L14" s="52"/>
      <c r="M14" s="52"/>
      <c r="N14" s="52"/>
      <c r="O14" s="54"/>
      <c r="P14" s="58"/>
      <c r="Q14" s="58"/>
      <c r="R14" s="56"/>
      <c r="S14" s="56"/>
      <c r="T14" s="56"/>
      <c r="U14" s="62"/>
      <c r="V14" s="62"/>
      <c r="W14" s="62"/>
      <c r="X14" s="62"/>
      <c r="Y14" s="62"/>
      <c r="Z14" s="62"/>
      <c r="AA14" s="56"/>
      <c r="AB14" s="56"/>
      <c r="AC14" s="58"/>
      <c r="AD14" s="58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51"/>
      <c r="D15" s="51"/>
      <c r="E15" s="55"/>
      <c r="F15" s="56"/>
      <c r="G15" s="56"/>
      <c r="H15" s="52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51"/>
      <c r="D16" s="51"/>
      <c r="E16" s="55"/>
      <c r="F16" s="56"/>
      <c r="G16" s="56"/>
      <c r="H16" s="52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51"/>
      <c r="D17" s="51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D2:D4 C5:D5" name="Zakres1"/>
    <protectedRange sqref="C2:C4" name="Zakres1_1"/>
    <protectedRange sqref="E2:Q2 AD2 E3:AD3 E4:Q5 AD4 R5:AD5" name="Zakres1_2"/>
    <protectedRange sqref="R2:AC2 R4:AC4" name="Zakres1_3"/>
  </protectedRanges>
  <phoneticPr fontId="15" type="noConversion"/>
  <conditionalFormatting sqref="C8:D120">
    <cfRule type="expression" dxfId="1" priority="2" stopIfTrue="1">
      <formula>AK8&gt;30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workbookViewId="0">
      <selection activeCell="AA10" sqref="AA10:AJ17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8" t="s">
        <v>86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2:37" s="1" customFormat="1" ht="12.75" x14ac:dyDescent="0.2">
      <c r="F2" s="12"/>
      <c r="M2" s="12" t="s">
        <v>49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VLOOKUP($AA$4,dane_łatwe!$A$1:$AJ$120,3,FALSE)</f>
        <v>SOK 100% POMIDOR z dodatkiem soli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Y9" s="7"/>
    </row>
    <row r="10" spans="2:37" x14ac:dyDescent="0.15">
      <c r="B10" s="7"/>
      <c r="C10" s="2"/>
      <c r="Y10" s="7"/>
      <c r="AA10" s="86"/>
      <c r="AB10" s="87"/>
      <c r="AC10" s="87"/>
      <c r="AD10" s="87"/>
      <c r="AE10" s="87"/>
      <c r="AF10" s="87"/>
      <c r="AG10" s="87"/>
      <c r="AH10" s="87"/>
      <c r="AI10" s="87"/>
      <c r="AJ10" s="87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2:37" ht="14.1" customHeight="1" x14ac:dyDescent="0.15">
      <c r="B12" s="7"/>
      <c r="C12" s="3" t="s">
        <v>54</v>
      </c>
      <c r="H12" s="74">
        <f>VLOOKUP($AA$4,dane_łatwe!$A$1:$AJ$120,4,FALSE)</f>
        <v>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5"/>
      <c r="W12" s="5"/>
      <c r="X12" s="5"/>
      <c r="Y12" s="11"/>
      <c r="Z12" s="5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2:37" ht="17.25" customHeight="1" x14ac:dyDescent="0.15">
      <c r="B13" s="7"/>
      <c r="Y13" s="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2:37" x14ac:dyDescent="0.15">
      <c r="B14" s="7"/>
      <c r="C14" s="2" t="s">
        <v>2</v>
      </c>
      <c r="Y14" s="7"/>
      <c r="AA14" s="87"/>
      <c r="AB14" s="87"/>
      <c r="AC14" s="87"/>
      <c r="AD14" s="87"/>
      <c r="AE14" s="87"/>
      <c r="AF14" s="87"/>
      <c r="AG14" s="87"/>
      <c r="AH14" s="87"/>
      <c r="AI14" s="87"/>
      <c r="AJ14" s="87"/>
    </row>
    <row r="15" spans="2:37" x14ac:dyDescent="0.15">
      <c r="B15" s="7"/>
      <c r="C15" s="3" t="s">
        <v>4</v>
      </c>
      <c r="E15" s="90" t="str">
        <f>VLOOKUP($AA$4,dane_łatwe!$A$1:$AJ$120,5,FALSE)</f>
        <v>soki</v>
      </c>
      <c r="F15" s="90"/>
      <c r="G15" s="90"/>
      <c r="H15" s="90"/>
      <c r="I15" s="9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2:37" ht="5.0999999999999996" customHeight="1" x14ac:dyDescent="0.15">
      <c r="B16" s="7"/>
      <c r="Y16" s="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2:36" x14ac:dyDescent="0.15">
      <c r="B17" s="7"/>
      <c r="C17" s="2" t="s">
        <v>3</v>
      </c>
      <c r="Y17" s="7"/>
      <c r="AA17" s="87"/>
      <c r="AB17" s="87"/>
      <c r="AC17" s="87"/>
      <c r="AD17" s="87"/>
      <c r="AE17" s="87"/>
      <c r="AF17" s="87"/>
      <c r="AG17" s="87"/>
      <c r="AH17" s="87"/>
      <c r="AI17" s="87"/>
      <c r="AJ17" s="87"/>
    </row>
    <row r="18" spans="2:36" ht="14.1" customHeight="1" x14ac:dyDescent="0.15">
      <c r="B18" s="7"/>
      <c r="C18" s="3" t="s">
        <v>5</v>
      </c>
      <c r="D18" s="74" t="str">
        <f>VLOOKUP($AA$4,dane_łatwe!$A$1:$AJ$120,6,FALSE)</f>
        <v>Fortuna</v>
      </c>
      <c r="E18" s="75"/>
      <c r="F18" s="75"/>
      <c r="G18" s="75"/>
      <c r="H18" s="75"/>
      <c r="I18" s="75"/>
      <c r="J18" s="75"/>
      <c r="K18" s="75"/>
      <c r="L18" s="76"/>
      <c r="M18" s="3" t="s">
        <v>93</v>
      </c>
      <c r="Y18" s="7"/>
    </row>
    <row r="19" spans="2:36" ht="13.5" customHeight="1" x14ac:dyDescent="0.15">
      <c r="B19" s="7"/>
      <c r="C19" s="3" t="s">
        <v>51</v>
      </c>
      <c r="D19" s="74"/>
      <c r="E19" s="75"/>
      <c r="F19" s="76"/>
      <c r="I19" s="3" t="s">
        <v>52</v>
      </c>
      <c r="O19" s="74"/>
      <c r="P19" s="75"/>
      <c r="Q19" s="75"/>
      <c r="R19" s="75"/>
      <c r="S19" s="75"/>
      <c r="T19" s="75"/>
      <c r="U19" s="76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74" t="str">
        <f>VLOOKUP($AA$4,dane_łatwe!$A$1:$AJ$120,7,FALSE)</f>
        <v>300 ml</v>
      </c>
      <c r="I21" s="75"/>
      <c r="J21" s="75"/>
      <c r="K21" s="75"/>
      <c r="L21" s="76"/>
      <c r="N21" s="4"/>
      <c r="O21" s="4"/>
      <c r="P21" s="4"/>
      <c r="Q21" s="4"/>
      <c r="R21" s="4"/>
      <c r="S21" s="89"/>
      <c r="T21" s="89"/>
      <c r="U21" s="89"/>
      <c r="V21" s="89"/>
      <c r="W21" s="89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4" t="str">
        <f>VLOOKUP($AA$4,dane_łatwe!$A$1:$AJ$120,9,FALSE)</f>
        <v>12 miesięcy</v>
      </c>
      <c r="M23" s="75"/>
      <c r="N23" s="76"/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90" t="str">
        <f>VLOOKUP($AA$4,dane_łatwe!$A$1:$AJ$120,15,FALSE)</f>
        <v>szt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91" t="str">
        <f>VLOOKUP($AA$4,dane_łatwe!$A$1:$AJ$120,16,FALSE)</f>
        <v>5900059020378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91" t="str">
        <f>VLOOKUP($AA$4,dane_łatwe!$A$1:$AJ$120,17,FALSE)</f>
        <v>05900482003603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4">
        <f>VLOOKUP($AA$4,dane_łatwe!$A$1:$AJ$120,13,FALSE)</f>
        <v>0</v>
      </c>
      <c r="G37" s="75"/>
      <c r="H37" s="76"/>
      <c r="L37" s="2" t="s">
        <v>17</v>
      </c>
      <c r="O37" s="4"/>
      <c r="P37" s="74" t="str">
        <f>VLOOKUP($AA$4,dane_łatwe!$A$1:$AJ$120,10,FALSE)</f>
        <v>10.32.11</v>
      </c>
      <c r="Q37" s="75"/>
      <c r="R37" s="75"/>
      <c r="S37" s="75"/>
      <c r="T37" s="75"/>
      <c r="U37" s="75"/>
      <c r="V37" s="76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98</v>
      </c>
      <c r="G39" s="80" t="str">
        <f>VLOOKUP($AA$4,dane_łatwe!$A$1:$AJ$120,11,FALSE)</f>
        <v>2009 50 90</v>
      </c>
      <c r="H39" s="81"/>
      <c r="I39" s="81"/>
      <c r="J39" s="82"/>
      <c r="K39" s="3" t="s">
        <v>27</v>
      </c>
      <c r="M39" s="2" t="s">
        <v>21</v>
      </c>
      <c r="R39" s="80">
        <f>VLOOKUP($AA$4,dane_łatwe!$A$1:$AJ$120,12,FALSE)</f>
        <v>0</v>
      </c>
      <c r="S39" s="81"/>
      <c r="T39" s="81"/>
      <c r="U39" s="82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4">
        <f>VLOOKUP($AA$4,dane_łatwe!$A$1:$AJ$120,14,FALSE)</f>
        <v>0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5">
        <f>VLOOKUP($AA$4,dane_łatwe!$A$1:$AJ$120,8,FALSE)</f>
        <v>0</v>
      </c>
      <c r="G44" s="96"/>
      <c r="H44" s="96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75"/>
      <c r="G50" s="75"/>
      <c r="H50" s="75"/>
      <c r="I50" s="75"/>
      <c r="J50" s="75"/>
      <c r="K50" s="75"/>
      <c r="L50" s="75"/>
      <c r="M50" s="76"/>
      <c r="O50" s="2" t="s">
        <v>13</v>
      </c>
      <c r="T50" s="74"/>
      <c r="U50" s="75"/>
      <c r="V50" s="75"/>
      <c r="W50" s="76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4"/>
      <c r="H52" s="75"/>
      <c r="I52" s="75"/>
      <c r="J52" s="75"/>
      <c r="K52" s="75"/>
      <c r="L52" s="76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4">
        <f>VLOOKUP($AA$4,dane_łatwe!$A$1:$AJ$120,18,FALSE)</f>
        <v>15</v>
      </c>
      <c r="F68" s="75"/>
      <c r="G68" s="76"/>
      <c r="H68" s="3" t="s">
        <v>33</v>
      </c>
      <c r="J68" s="3" t="s">
        <v>29</v>
      </c>
      <c r="K68" s="80">
        <f>VLOOKUP($AA$4,dane_łatwe!$A$1:$AJ$120,33,FALSE)</f>
        <v>4.5750000000000002</v>
      </c>
      <c r="L68" s="81"/>
      <c r="M68" s="82"/>
      <c r="N68" s="3" t="s">
        <v>34</v>
      </c>
      <c r="Q68" s="3" t="s">
        <v>29</v>
      </c>
      <c r="R68" s="80">
        <f>VLOOKUP($AA$4,dane_łatwe!$A$1:$AJ$120,34,FALSE)</f>
        <v>7.0600000000000005</v>
      </c>
      <c r="S68" s="81"/>
      <c r="T68" s="82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4">
        <f>VLOOKUP($AA$4,dane_łatwe!$A$1:$AJ$120,19,FALSE)</f>
        <v>14</v>
      </c>
      <c r="F70" s="75"/>
      <c r="G70" s="76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4">
        <f>VLOOKUP($AA$4,dane_łatwe!$A$1:$AJ$120,32,FALSE)</f>
        <v>98</v>
      </c>
      <c r="F72" s="75"/>
      <c r="G72" s="76"/>
      <c r="H72" s="3" t="s">
        <v>35</v>
      </c>
      <c r="J72" s="3" t="s">
        <v>29</v>
      </c>
      <c r="K72" s="80">
        <f>VLOOKUP($AA$4,dane_łatwe!$A$1:$AJ$120,35,FALSE)</f>
        <v>448.35</v>
      </c>
      <c r="L72" s="81"/>
      <c r="M72" s="82"/>
      <c r="N72" s="3" t="s">
        <v>34</v>
      </c>
      <c r="Q72" s="3" t="s">
        <v>29</v>
      </c>
      <c r="R72" s="80">
        <f>VLOOKUP($AA$4,dane_łatwe!$A$1:$AJ$120,36,FALSE)</f>
        <v>716.88</v>
      </c>
      <c r="S72" s="81"/>
      <c r="T72" s="82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4">
        <f>VLOOKUP($AA$4,dane_łatwe!$A$1:$AJ$120,20,FALSE)</f>
        <v>7</v>
      </c>
      <c r="F74" s="75"/>
      <c r="G74" s="76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3" t="s">
        <v>38</v>
      </c>
      <c r="H76" s="84"/>
      <c r="I76" s="85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7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8"/>
      <c r="M78" s="3" t="s">
        <v>40</v>
      </c>
      <c r="Q78" s="3" t="s">
        <v>38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8"/>
      <c r="M79" s="74">
        <f>VLOOKUP($AA$4,dane_łatwe!$A$1:$AJ$120,21,FALSE)</f>
        <v>6.5</v>
      </c>
      <c r="N79" s="76"/>
      <c r="O79" s="3" t="s">
        <v>41</v>
      </c>
      <c r="Q79" s="74">
        <f>VLOOKUP($AA$4,dane_łatwe!$A$1:$AJ$120,22,FALSE)</f>
        <v>6.5</v>
      </c>
      <c r="R79" s="76"/>
      <c r="S79" s="3" t="s">
        <v>41</v>
      </c>
      <c r="U79" s="74">
        <f>VLOOKUP($AA$4,dane_łatwe!$A$1:$AJ$120,23,FALSE)</f>
        <v>16.3</v>
      </c>
      <c r="V79" s="76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9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40</v>
      </c>
      <c r="Q81" s="3" t="s">
        <v>38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4">
        <f>VLOOKUP($AA$4,dane_łatwe!$A$1:$AJ$120,24,FALSE)</f>
        <v>33.6</v>
      </c>
      <c r="N82" s="76"/>
      <c r="O82" s="3" t="s">
        <v>41</v>
      </c>
      <c r="Q82" s="74">
        <f>VLOOKUP($AA$4,dane_łatwe!$A$1:$AJ$120,25,FALSE)</f>
        <v>19.899999999999999</v>
      </c>
      <c r="R82" s="76"/>
      <c r="S82" s="3" t="s">
        <v>41</v>
      </c>
      <c r="U82" s="74">
        <f>VLOOKUP($AA$4,dane_łatwe!$A$1:$AJ$120,26,FALSE)</f>
        <v>16.5</v>
      </c>
      <c r="V82" s="76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40</v>
      </c>
      <c r="Q84" s="3" t="s">
        <v>38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4">
        <f>VLOOKUP($AA$4,dane_łatwe!$A$1:$AJ$120,27,FALSE)</f>
        <v>120</v>
      </c>
      <c r="N85" s="76"/>
      <c r="O85" s="3" t="s">
        <v>41</v>
      </c>
      <c r="Q85" s="74">
        <f>VLOOKUP($AA$4,dane_łatwe!$A$1:$AJ$120,28,FALSE)</f>
        <v>80</v>
      </c>
      <c r="R85" s="76"/>
      <c r="S85" s="3" t="s">
        <v>41</v>
      </c>
      <c r="U85" s="74">
        <f>VLOOKUP($AA$4,dane_łatwe!$A$1:$AJ$120,31,FALSE)</f>
        <v>115.5</v>
      </c>
      <c r="V85" s="76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6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4"/>
      <c r="G95" s="75"/>
      <c r="H95" s="75"/>
      <c r="I95" s="76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6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U85:V85"/>
    <mergeCell ref="J77:J80"/>
    <mergeCell ref="G76:I76"/>
    <mergeCell ref="U79:V79"/>
    <mergeCell ref="U82:V82"/>
    <mergeCell ref="H21:L21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K68:M68"/>
    <mergeCell ref="R68:T68"/>
    <mergeCell ref="F37:H37"/>
    <mergeCell ref="P37:V37"/>
    <mergeCell ref="E54:S54"/>
    <mergeCell ref="G52:L52"/>
    <mergeCell ref="G39:J39"/>
    <mergeCell ref="T50:W50"/>
    <mergeCell ref="E68:G68"/>
    <mergeCell ref="D19:F19"/>
    <mergeCell ref="K31:W31"/>
    <mergeCell ref="F44:H44"/>
    <mergeCell ref="AA10:AJ17"/>
    <mergeCell ref="AA1:AK2"/>
    <mergeCell ref="H9:U9"/>
    <mergeCell ref="O19:U19"/>
    <mergeCell ref="H12:U12"/>
    <mergeCell ref="D18:L18"/>
    <mergeCell ref="E15:I15"/>
    <mergeCell ref="R39:U39"/>
    <mergeCell ref="E41:S41"/>
    <mergeCell ref="S21:W21"/>
    <mergeCell ref="I27:T27"/>
    <mergeCell ref="K29:W29"/>
    <mergeCell ref="L23:N23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arkusz-do-druku (2)</vt:lpstr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2021-01-20T09:52:11Z</dcterms:modified>
</cp:coreProperties>
</file>